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0"/>
  <workbookPr/>
  <mc:AlternateContent xmlns:mc="http://schemas.openxmlformats.org/markup-compatibility/2006">
    <mc:Choice Requires="x15">
      <x15ac:absPath xmlns:x15ac="http://schemas.microsoft.com/office/spreadsheetml/2010/11/ac" url="O:\CoC Projects &amp; Fiscal\Project Admin Costs\Project Admin &amp; Indirect Discussion 11.8.22\"/>
    </mc:Choice>
  </mc:AlternateContent>
  <xr:revisionPtr revIDLastSave="0" documentId="11_E5321E71361DEFC1FFB62944AA5C1FA6E05E666C" xr6:coauthVersionLast="47" xr6:coauthVersionMax="47" xr10:uidLastSave="{00000000-0000-0000-0000-000000000000}"/>
  <bookViews>
    <workbookView xWindow="0" yWindow="0" windowWidth="21600" windowHeight="9600" xr2:uid="{00000000-000D-0000-FFFF-FFFF00000000}"/>
  </bookViews>
  <sheets>
    <sheet name="Sheet1" sheetId="1" r:id="rId1"/>
  </sheets>
  <definedNames>
    <definedName name="_xlnm.Print_Area" localSheetId="0">Sheet1!$A$1:$P$24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L17" i="1" s="1"/>
  <c r="J13" i="1"/>
  <c r="L13" i="1" s="1"/>
  <c r="P13" i="1" s="1"/>
  <c r="J9" i="1"/>
  <c r="L9" i="1" s="1"/>
  <c r="G17" i="1"/>
  <c r="I17" i="1" s="1"/>
  <c r="G13" i="1"/>
  <c r="I13" i="1" s="1"/>
  <c r="G9" i="1"/>
  <c r="I9" i="1" s="1"/>
  <c r="N17" i="1"/>
  <c r="O17" i="1" s="1"/>
  <c r="P17" i="1"/>
  <c r="M18" i="1"/>
  <c r="N13" i="1"/>
  <c r="O13" i="1" s="1"/>
  <c r="N9" i="1"/>
  <c r="O9" i="1"/>
  <c r="P9" i="1"/>
  <c r="M21" i="1" l="1"/>
  <c r="M20" i="1"/>
  <c r="M19" i="1"/>
  <c r="M22" i="1" s="1"/>
  <c r="N7" i="1"/>
  <c r="N8" i="1"/>
  <c r="O8" i="1" s="1"/>
  <c r="N11" i="1"/>
  <c r="O11" i="1" s="1"/>
  <c r="N12" i="1"/>
  <c r="O12" i="1" s="1"/>
  <c r="N15" i="1"/>
  <c r="O15" i="1" s="1"/>
  <c r="N16" i="1"/>
  <c r="O16" i="1" s="1"/>
  <c r="O7" i="1" l="1"/>
  <c r="O18" i="1" s="1"/>
  <c r="N18" i="1"/>
  <c r="O20" i="1"/>
  <c r="O21" i="1"/>
  <c r="N19" i="1"/>
  <c r="N20" i="1"/>
  <c r="N21" i="1"/>
  <c r="K16" i="1"/>
  <c r="K15" i="1"/>
  <c r="K12" i="1"/>
  <c r="K11" i="1"/>
  <c r="K8" i="1"/>
  <c r="K7" i="1"/>
  <c r="J16" i="1"/>
  <c r="J15" i="1"/>
  <c r="J12" i="1"/>
  <c r="J11" i="1"/>
  <c r="J8" i="1"/>
  <c r="J7" i="1"/>
  <c r="G16" i="1"/>
  <c r="G15" i="1"/>
  <c r="G12" i="1"/>
  <c r="G11" i="1"/>
  <c r="G8" i="1"/>
  <c r="I8" i="1" s="1"/>
  <c r="G7" i="1"/>
  <c r="O19" i="1" l="1"/>
  <c r="O22" i="1"/>
  <c r="N22" i="1"/>
  <c r="L12" i="1"/>
  <c r="P12" i="1" s="1"/>
  <c r="I15" i="1"/>
  <c r="I12" i="1"/>
  <c r="I11" i="1"/>
  <c r="L15" i="1"/>
  <c r="P15" i="1" s="1"/>
  <c r="L16" i="1"/>
  <c r="P16" i="1" s="1"/>
  <c r="L11" i="1"/>
  <c r="P11" i="1" s="1"/>
  <c r="L8" i="1"/>
  <c r="P8" i="1" s="1"/>
  <c r="L7" i="1"/>
  <c r="P7" i="1" s="1"/>
  <c r="P18" i="1" l="1"/>
  <c r="P19" i="1"/>
  <c r="P21" i="1"/>
  <c r="P20" i="1"/>
  <c r="I16" i="1"/>
  <c r="P22" i="1" l="1"/>
  <c r="I7" i="1" l="1"/>
</calcChain>
</file>

<file path=xl/sharedStrings.xml><?xml version="1.0" encoding="utf-8"?>
<sst xmlns="http://schemas.openxmlformats.org/spreadsheetml/2006/main" count="60" uniqueCount="49">
  <si>
    <t xml:space="preserve">Payroll Summary </t>
  </si>
  <si>
    <t>Payroll Summary Example-Includes Admin &amp; Indirect</t>
  </si>
  <si>
    <t>Month of:  August 2022</t>
  </si>
  <si>
    <t xml:space="preserve">Pay Periods: </t>
  </si>
  <si>
    <t xml:space="preserve">8/1/22-8/14/22 </t>
  </si>
  <si>
    <t>8/15/22-8/28/22</t>
  </si>
  <si>
    <t>For some agencies its easier to track by pay period rather than total for month (but its optional)</t>
  </si>
  <si>
    <t>hourly pay rate</t>
  </si>
  <si>
    <t>Total hrs on timesheet</t>
  </si>
  <si>
    <t>Total CoC Eligible hours</t>
  </si>
  <si>
    <t>total hrs x payrate</t>
  </si>
  <si>
    <t>total paid by Agency</t>
  </si>
  <si>
    <t>Total Salary + Total Fringe</t>
  </si>
  <si>
    <t xml:space="preserve">CoC hrs x payrate </t>
  </si>
  <si>
    <t xml:space="preserve">percentage based on CoC hrs </t>
  </si>
  <si>
    <t>Total CoC Salary plus CoC Fringe</t>
  </si>
  <si>
    <t xml:space="preserve">Fringe Rate: Use Federally Approved rate or 10% </t>
  </si>
  <si>
    <t>Total CoC Expense - Total CoC Expense Billed</t>
  </si>
  <si>
    <t>Payroll Expense</t>
  </si>
  <si>
    <t>Employee Name</t>
  </si>
  <si>
    <t>Pay Period</t>
  </si>
  <si>
    <t>Pay Rate</t>
  </si>
  <si>
    <t>Total hours</t>
  </si>
  <si>
    <t>CoC hours</t>
  </si>
  <si>
    <t>Total Salary</t>
  </si>
  <si>
    <t>Tax, Fringe, &amp; Prof. Ins</t>
  </si>
  <si>
    <t>Total Payroll Expense</t>
  </si>
  <si>
    <t>Total CoC Salary</t>
  </si>
  <si>
    <t>Total CoC Fringe</t>
  </si>
  <si>
    <t>Total CoC Expense</t>
  </si>
  <si>
    <t>Total Billed</t>
  </si>
  <si>
    <t>Indirect @ 10%</t>
  </si>
  <si>
    <t>Total Billed Including Indirect</t>
  </si>
  <si>
    <t>Total Match Expense</t>
  </si>
  <si>
    <t xml:space="preserve">Supportive Services </t>
  </si>
  <si>
    <t>Supp. Serv.- Case Mgr</t>
  </si>
  <si>
    <t xml:space="preserve">Joe Smith </t>
  </si>
  <si>
    <t>8/1/22-8/14/22</t>
  </si>
  <si>
    <t>HMIS</t>
  </si>
  <si>
    <t>HMIS-Staffing</t>
  </si>
  <si>
    <t>Sam Jones</t>
  </si>
  <si>
    <t>Admin</t>
  </si>
  <si>
    <t>Admin- staffing</t>
  </si>
  <si>
    <t>Jane Davis</t>
  </si>
  <si>
    <t xml:space="preserve"> TOTAL </t>
  </si>
  <si>
    <t>Supportive Services Total</t>
  </si>
  <si>
    <t>HMIS Total</t>
  </si>
  <si>
    <t>Admin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</si>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</sst>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44" fontId="1" fillId="0" borderId="2" xfId="0" applyNumberFormat="1" applyFont="1" applyBorder="1"/>
    <xf numFmtId="43" fontId="3" fillId="0" borderId="0" xfId="1" applyFont="1" applyBorder="1" applyAlignment="1" applyProtection="1">
      <alignment horizontal="right"/>
    </xf>
    <xf numFmtId="43" fontId="3" fillId="0" borderId="0" xfId="1" applyFont="1" applyBorder="1" applyProtection="1"/>
    <xf numFmtId="44" fontId="1" fillId="0" borderId="0" xfId="0" applyNumberFormat="1" applyFont="1"/>
    <xf numFmtId="0" fontId="1" fillId="0" borderId="6" xfId="0" applyFont="1" applyBorder="1" applyAlignment="1">
      <alignment horizontal="center" wrapText="1"/>
    </xf>
    <xf numFmtId="44" fontId="1" fillId="0" borderId="9" xfId="0" applyNumberFormat="1" applyFont="1" applyBorder="1"/>
    <xf numFmtId="44" fontId="1" fillId="0" borderId="6" xfId="0" applyNumberFormat="1" applyFont="1" applyBorder="1"/>
    <xf numFmtId="164" fontId="1" fillId="3" borderId="6" xfId="2" applyNumberFormat="1" applyFont="1" applyFill="1" applyBorder="1"/>
    <xf numFmtId="0" fontId="5" fillId="4" borderId="4" xfId="0" applyFont="1" applyFill="1" applyBorder="1"/>
    <xf numFmtId="6" fontId="5" fillId="4" borderId="4" xfId="0" applyNumberFormat="1" applyFont="1" applyFill="1" applyBorder="1"/>
    <xf numFmtId="44" fontId="5" fillId="4" borderId="4" xfId="0" applyNumberFormat="1" applyFont="1" applyFill="1" applyBorder="1"/>
    <xf numFmtId="44" fontId="4" fillId="4" borderId="6" xfId="0" applyNumberFormat="1" applyFont="1" applyFill="1" applyBorder="1"/>
    <xf numFmtId="44" fontId="4" fillId="4" borderId="8" xfId="0" applyNumberFormat="1" applyFont="1" applyFill="1" applyBorder="1"/>
    <xf numFmtId="44" fontId="1" fillId="3" borderId="9" xfId="0" applyNumberFormat="1" applyFont="1" applyFill="1" applyBorder="1"/>
    <xf numFmtId="44" fontId="1" fillId="5" borderId="8" xfId="0" applyNumberFormat="1" applyFont="1" applyFill="1" applyBorder="1"/>
    <xf numFmtId="44" fontId="1" fillId="2" borderId="0" xfId="0" applyNumberFormat="1" applyFont="1" applyFill="1"/>
    <xf numFmtId="44" fontId="1" fillId="2" borderId="6" xfId="0" applyNumberFormat="1" applyFont="1" applyFill="1" applyBorder="1"/>
    <xf numFmtId="44" fontId="1" fillId="2" borderId="7" xfId="0" applyNumberFormat="1" applyFont="1" applyFill="1" applyBorder="1"/>
    <xf numFmtId="0" fontId="1" fillId="7" borderId="6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44" fontId="1" fillId="5" borderId="0" xfId="0" applyNumberFormat="1" applyFont="1" applyFill="1"/>
    <xf numFmtId="44" fontId="1" fillId="6" borderId="10" xfId="0" applyNumberFormat="1" applyFont="1" applyFill="1" applyBorder="1"/>
    <xf numFmtId="0" fontId="1" fillId="8" borderId="5" xfId="0" applyFont="1" applyFill="1" applyBorder="1" applyAlignment="1">
      <alignment horizontal="center" wrapText="1"/>
    </xf>
    <xf numFmtId="0" fontId="0" fillId="0" borderId="1" xfId="0" applyBorder="1"/>
    <xf numFmtId="6" fontId="0" fillId="0" borderId="1" xfId="0" applyNumberFormat="1" applyBorder="1"/>
    <xf numFmtId="0" fontId="0" fillId="2" borderId="1" xfId="0" applyFill="1" applyBorder="1"/>
    <xf numFmtId="6" fontId="0" fillId="0" borderId="0" xfId="0" applyNumberFormat="1"/>
    <xf numFmtId="0" fontId="0" fillId="2" borderId="0" xfId="0" applyFill="1"/>
    <xf numFmtId="44" fontId="0" fillId="0" borderId="0" xfId="0" applyNumberFormat="1"/>
    <xf numFmtId="44" fontId="0" fillId="2" borderId="0" xfId="0" applyNumberFormat="1" applyFill="1"/>
    <xf numFmtId="0" fontId="1" fillId="6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44" fontId="1" fillId="3" borderId="6" xfId="2" applyFont="1" applyFill="1" applyBorder="1"/>
    <xf numFmtId="0" fontId="1" fillId="0" borderId="8" xfId="0" applyFont="1" applyBorder="1" applyAlignment="1">
      <alignment horizontal="center" wrapText="1"/>
    </xf>
    <xf numFmtId="0" fontId="4" fillId="9" borderId="12" xfId="0" applyFont="1" applyFill="1" applyBorder="1" applyAlignment="1">
      <alignment horizontal="left" wrapText="1"/>
    </xf>
    <xf numFmtId="0" fontId="4" fillId="9" borderId="13" xfId="0" applyFont="1" applyFill="1" applyBorder="1" applyAlignment="1">
      <alignment horizontal="center" wrapText="1"/>
    </xf>
    <xf numFmtId="44" fontId="4" fillId="9" borderId="11" xfId="2" applyFont="1" applyFill="1" applyBorder="1" applyAlignment="1">
      <alignment horizontal="center" wrapText="1"/>
    </xf>
    <xf numFmtId="44" fontId="1" fillId="5" borderId="1" xfId="0" applyNumberFormat="1" applyFont="1" applyFill="1" applyBorder="1"/>
    <xf numFmtId="44" fontId="1" fillId="3" borderId="7" xfId="2" applyFont="1" applyFill="1" applyBorder="1"/>
    <xf numFmtId="0" fontId="1" fillId="7" borderId="9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44" fontId="1" fillId="5" borderId="6" xfId="0" applyNumberFormat="1" applyFont="1" applyFill="1" applyBorder="1"/>
    <xf numFmtId="44" fontId="1" fillId="0" borderId="7" xfId="0" applyNumberFormat="1" applyFont="1" applyBorder="1"/>
    <xf numFmtId="44" fontId="1" fillId="7" borderId="14" xfId="0" applyNumberFormat="1" applyFont="1" applyFill="1" applyBorder="1"/>
    <xf numFmtId="44" fontId="1" fillId="8" borderId="10" xfId="0" applyNumberFormat="1" applyFont="1" applyFill="1" applyBorder="1"/>
    <xf numFmtId="0" fontId="0" fillId="10" borderId="0" xfId="0" applyFill="1"/>
    <xf numFmtId="44" fontId="1" fillId="10" borderId="0" xfId="0" applyNumberFormat="1" applyFont="1" applyFill="1"/>
    <xf numFmtId="44" fontId="1" fillId="10" borderId="6" xfId="0" applyNumberFormat="1" applyFont="1" applyFill="1" applyBorder="1"/>
    <xf numFmtId="44" fontId="1" fillId="10" borderId="8" xfId="0" applyNumberFormat="1" applyFont="1" applyFill="1" applyBorder="1"/>
    <xf numFmtId="164" fontId="1" fillId="10" borderId="6" xfId="2" applyNumberFormat="1" applyFont="1" applyFill="1" applyBorder="1"/>
    <xf numFmtId="44" fontId="0" fillId="10" borderId="0" xfId="0" applyNumberFormat="1" applyFill="1"/>
    <xf numFmtId="44" fontId="1" fillId="10" borderId="8" xfId="2" applyFont="1" applyFill="1" applyBorder="1"/>
    <xf numFmtId="0" fontId="6" fillId="0" borderId="0" xfId="0" applyFont="1"/>
    <xf numFmtId="17" fontId="0" fillId="0" borderId="0" xfId="0" applyNumberForma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5" xfId="0" applyBorder="1"/>
    <xf numFmtId="44" fontId="0" fillId="0" borderId="1" xfId="0" applyNumberFormat="1" applyBorder="1"/>
    <xf numFmtId="0" fontId="5" fillId="4" borderId="3" xfId="0" applyFont="1" applyFill="1" applyBorder="1"/>
    <xf numFmtId="44" fontId="4" fillId="4" borderId="4" xfId="0" applyNumberFormat="1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37"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0" formatCode="&quot;$&quot;#,##0_);[Red]\(&quot;$&quot;#,##0\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P18" totalsRowCount="1" headerRowDxfId="36" dataDxfId="35" totalsRowDxfId="34" headerRowBorderDxfId="32" tableBorderDxfId="33">
  <autoFilter ref="A5:P17" xr:uid="{00000000-0009-0000-0100-000001000000}"/>
  <tableColumns count="16">
    <tableColumn id="1" xr3:uid="{00000000-0010-0000-0000-000001000000}" name="Payroll Expense" dataDxfId="30" totalsRowDxfId="31"/>
    <tableColumn id="2" xr3:uid="{00000000-0010-0000-0000-000002000000}" name="Employee Name" dataDxfId="28" totalsRowDxfId="29"/>
    <tableColumn id="12" xr3:uid="{00000000-0010-0000-0000-00000C000000}" name="Pay Period" dataDxfId="26" totalsRowDxfId="27"/>
    <tableColumn id="3" xr3:uid="{00000000-0010-0000-0000-000003000000}" name="Pay Rate" dataDxfId="24" totalsRowDxfId="25"/>
    <tableColumn id="4" xr3:uid="{00000000-0010-0000-0000-000004000000}" name="Total hours" dataDxfId="22" totalsRowDxfId="23"/>
    <tableColumn id="5" xr3:uid="{00000000-0010-0000-0000-000005000000}" name="CoC hours" dataDxfId="20" totalsRowDxfId="21"/>
    <tableColumn id="6" xr3:uid="{00000000-0010-0000-0000-000006000000}" name="Total Salary" dataDxfId="18" totalsRowDxfId="19"/>
    <tableColumn id="7" xr3:uid="{00000000-0010-0000-0000-000007000000}" name="Tax, Fringe, &amp; Prof. Ins" dataDxfId="16" totalsRowDxfId="17"/>
    <tableColumn id="8" xr3:uid="{00000000-0010-0000-0000-000008000000}" name="Total Payroll Expense" dataDxfId="14" totalsRowDxfId="15"/>
    <tableColumn id="15" xr3:uid="{00000000-0010-0000-0000-00000F000000}" name="Total CoC Salary" dataDxfId="12" totalsRowDxfId="13"/>
    <tableColumn id="14" xr3:uid="{00000000-0010-0000-0000-00000E000000}" name="Total CoC Fringe" dataDxfId="10" totalsRowDxfId="11"/>
    <tableColumn id="9" xr3:uid="{00000000-0010-0000-0000-000009000000}" name="Total CoC Expense" totalsRowLabel=" TOTAL " dataDxfId="8" totalsRowDxfId="9"/>
    <tableColumn id="17" xr3:uid="{00000000-0010-0000-0000-000011000000}" name="Total Billed" totalsRowFunction="custom" dataDxfId="6" totalsRowDxfId="7">
      <totalsRowFormula>SUM(M6:M17)</totalsRowFormula>
    </tableColumn>
    <tableColumn id="13" xr3:uid="{00000000-0010-0000-0000-00000D000000}" name="Indirect @ 10%" totalsRowFunction="custom" dataDxfId="4" totalsRowDxfId="5">
      <calculatedColumnFormula>Table1[[#This Row],[Total Billed]]*0.1</calculatedColumnFormula>
      <totalsRowFormula>SUM(N6:N17)</totalsRowFormula>
    </tableColumn>
    <tableColumn id="18" xr3:uid="{00000000-0010-0000-0000-000012000000}" name="Total Billed Including Indirect" totalsRowFunction="custom" dataDxfId="2" totalsRowDxfId="3">
      <calculatedColumnFormula>Table1[[#This Row],[Total Billed]]+Table1[[#This Row],[Indirect @ 10%]]</calculatedColumnFormula>
      <totalsRowFormula>SUM(O6:O17)</totalsRowFormula>
    </tableColumn>
    <tableColumn id="10" xr3:uid="{00000000-0010-0000-0000-00000A000000}" name="Total Match Expense" totalsRowFunction="custom" dataDxfId="0" totalsRowDxfId="1" dataCellStyle="Currency">
      <calculatedColumnFormula>Table1[[#This Row],[Total CoC Expense]]-Table1[[#This Row],[Total Billed]]</calculatedColumnFormula>
      <totalsRowFormula>SUM(P6:P17)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workbookViewId="0">
      <selection activeCell="N4" sqref="N4"/>
    </sheetView>
  </sheetViews>
  <sheetFormatPr defaultColWidth="9.140625" defaultRowHeight="14.45"/>
  <cols>
    <col min="1" max="1" width="19.85546875" customWidth="1"/>
    <col min="2" max="2" width="15.5703125" customWidth="1"/>
    <col min="3" max="3" width="19.42578125" customWidth="1"/>
    <col min="4" max="4" width="10.85546875" customWidth="1"/>
    <col min="5" max="5" width="8.85546875" customWidth="1"/>
    <col min="6" max="6" width="10.140625" customWidth="1"/>
    <col min="7" max="7" width="13.28515625" customWidth="1"/>
    <col min="8" max="8" width="13" customWidth="1"/>
    <col min="9" max="9" width="13.5703125" customWidth="1"/>
    <col min="10" max="10" width="11.5703125" customWidth="1"/>
    <col min="11" max="11" width="11.7109375" customWidth="1"/>
    <col min="12" max="15" width="14.5703125" customWidth="1"/>
    <col min="16" max="16" width="16.140625" customWidth="1"/>
  </cols>
  <sheetData>
    <row r="1" spans="1:16">
      <c r="A1" s="1" t="s">
        <v>0</v>
      </c>
      <c r="M1" s="57" t="s">
        <v>1</v>
      </c>
      <c r="N1" s="57"/>
      <c r="O1" s="57"/>
    </row>
    <row r="2" spans="1:16">
      <c r="A2" s="1" t="s">
        <v>2</v>
      </c>
      <c r="B2" s="58"/>
      <c r="C2" s="58"/>
      <c r="D2" s="1" t="s">
        <v>3</v>
      </c>
      <c r="F2" t="s">
        <v>4</v>
      </c>
    </row>
    <row r="3" spans="1:16">
      <c r="A3" s="1"/>
      <c r="B3" s="58"/>
      <c r="C3" s="58"/>
      <c r="D3" s="1"/>
      <c r="F3" t="s">
        <v>5</v>
      </c>
    </row>
    <row r="4" spans="1:16" s="59" customFormat="1" ht="72">
      <c r="C4" s="60" t="s">
        <v>6</v>
      </c>
      <c r="D4" s="60" t="s">
        <v>7</v>
      </c>
      <c r="E4" s="60" t="s">
        <v>8</v>
      </c>
      <c r="F4" s="60" t="s">
        <v>9</v>
      </c>
      <c r="G4" s="60" t="s">
        <v>10</v>
      </c>
      <c r="H4" s="60" t="s">
        <v>11</v>
      </c>
      <c r="I4" s="60" t="s">
        <v>12</v>
      </c>
      <c r="J4" s="60" t="s">
        <v>13</v>
      </c>
      <c r="K4" s="60" t="s">
        <v>14</v>
      </c>
      <c r="L4" s="60" t="s">
        <v>15</v>
      </c>
      <c r="M4" s="60"/>
      <c r="N4" s="60" t="s">
        <v>16</v>
      </c>
      <c r="O4" s="60"/>
      <c r="P4" s="60" t="s">
        <v>17</v>
      </c>
    </row>
    <row r="5" spans="1:16" s="2" customFormat="1" ht="43.15">
      <c r="A5" s="38" t="s">
        <v>18</v>
      </c>
      <c r="B5" s="8" t="s">
        <v>19</v>
      </c>
      <c r="C5" s="8" t="s">
        <v>20</v>
      </c>
      <c r="D5" s="8" t="s">
        <v>21</v>
      </c>
      <c r="E5" s="8" t="s">
        <v>22</v>
      </c>
      <c r="F5" s="22" t="s">
        <v>23</v>
      </c>
      <c r="G5" s="8" t="s">
        <v>24</v>
      </c>
      <c r="H5" s="8" t="s">
        <v>25</v>
      </c>
      <c r="I5" s="8" t="s">
        <v>26</v>
      </c>
      <c r="J5" s="22" t="s">
        <v>27</v>
      </c>
      <c r="K5" s="22" t="s">
        <v>28</v>
      </c>
      <c r="L5" s="23" t="s">
        <v>29</v>
      </c>
      <c r="M5" s="44" t="s">
        <v>30</v>
      </c>
      <c r="N5" s="35" t="s">
        <v>31</v>
      </c>
      <c r="O5" s="24" t="s">
        <v>32</v>
      </c>
      <c r="P5" s="27" t="s">
        <v>33</v>
      </c>
    </row>
    <row r="6" spans="1:16" s="36" customFormat="1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5"/>
      <c r="N6" s="40"/>
      <c r="O6" s="40"/>
      <c r="P6" s="41"/>
    </row>
    <row r="7" spans="1:16">
      <c r="A7" t="s">
        <v>35</v>
      </c>
      <c r="B7" t="s">
        <v>36</v>
      </c>
      <c r="C7" t="s">
        <v>37</v>
      </c>
      <c r="D7" s="31">
        <v>20</v>
      </c>
      <c r="E7">
        <v>80</v>
      </c>
      <c r="F7" s="32">
        <v>80</v>
      </c>
      <c r="G7" s="33">
        <f>Table1[[#This Row],[Total hours]]*Table1[[#This Row],[Pay Rate]]</f>
        <v>1600</v>
      </c>
      <c r="H7" s="33">
        <v>197</v>
      </c>
      <c r="I7" s="33">
        <f t="shared" ref="I7:I17" si="0">SUM(G7:H7)</f>
        <v>1797</v>
      </c>
      <c r="J7" s="34">
        <f>Table1[[#This Row],[CoC hours]]*Table1[[#This Row],[Pay Rate]]</f>
        <v>1600</v>
      </c>
      <c r="K7" s="34">
        <f>Table1[[#This Row],[CoC hours]]/Table1[[#This Row],[Total hours]]*Table1[[#This Row],[Tax, Fringe, &amp; Prof. Ins]]</f>
        <v>197</v>
      </c>
      <c r="L7" s="19">
        <f t="shared" ref="L7:L17" si="1">SUM(J7:K7)</f>
        <v>1797</v>
      </c>
      <c r="M7" s="20">
        <v>1797</v>
      </c>
      <c r="N7" s="9">
        <f>Table1[[#This Row],[Total Billed]]*0.1</f>
        <v>179.70000000000002</v>
      </c>
      <c r="O7" s="18">
        <f>Table1[[#This Row],[Total Billed]]+Table1[[#This Row],[Indirect @ 10%]]</f>
        <v>1976.7</v>
      </c>
      <c r="P7" s="11">
        <f>Table1[[#This Row],[Total CoC Expense]]-Table1[[#This Row],[Total Billed]]</f>
        <v>0</v>
      </c>
    </row>
    <row r="8" spans="1:16">
      <c r="A8" t="s">
        <v>35</v>
      </c>
      <c r="B8" t="s">
        <v>36</v>
      </c>
      <c r="C8" t="s">
        <v>5</v>
      </c>
      <c r="D8" s="31">
        <v>20</v>
      </c>
      <c r="E8">
        <v>80</v>
      </c>
      <c r="F8" s="50">
        <v>80</v>
      </c>
      <c r="G8" s="33">
        <f>Table1[[#This Row],[Total hours]]*Table1[[#This Row],[Pay Rate]]</f>
        <v>1600</v>
      </c>
      <c r="H8" s="33">
        <v>197</v>
      </c>
      <c r="I8" s="33">
        <f t="shared" si="0"/>
        <v>1797</v>
      </c>
      <c r="J8" s="55">
        <f>Table1[[#This Row],[CoC hours]]*Table1[[#This Row],[Pay Rate]]</f>
        <v>1600</v>
      </c>
      <c r="K8" s="55">
        <f>Table1[[#This Row],[CoC hours]]/Table1[[#This Row],[Total hours]]*Table1[[#This Row],[Tax, Fringe, &amp; Prof. Ins]]</f>
        <v>197</v>
      </c>
      <c r="L8" s="51">
        <f t="shared" si="1"/>
        <v>1797</v>
      </c>
      <c r="M8" s="52">
        <v>1797</v>
      </c>
      <c r="N8" s="52">
        <f>Table1[[#This Row],[Total Billed]]*0.1</f>
        <v>179.70000000000002</v>
      </c>
      <c r="O8" s="53">
        <f>Table1[[#This Row],[Total Billed]]+Table1[[#This Row],[Indirect @ 10%]]</f>
        <v>1976.7</v>
      </c>
      <c r="P8" s="54">
        <f>Table1[[#This Row],[Total CoC Expense]]-Table1[[#This Row],[Total Billed]]</f>
        <v>0</v>
      </c>
    </row>
    <row r="9" spans="1:16">
      <c r="D9" s="31">
        <v>0</v>
      </c>
      <c r="E9">
        <v>0</v>
      </c>
      <c r="F9" s="32">
        <v>0</v>
      </c>
      <c r="G9" s="33">
        <f>Table1[[#This Row],[Total hours]]*Table1[[#This Row],[Pay Rate]]</f>
        <v>0</v>
      </c>
      <c r="H9" s="33">
        <v>0</v>
      </c>
      <c r="I9" s="33">
        <f t="shared" si="0"/>
        <v>0</v>
      </c>
      <c r="J9" s="34">
        <f>Table1[[#This Row],[CoC hours]]*Table1[[#This Row],[Pay Rate]]</f>
        <v>0</v>
      </c>
      <c r="K9" s="34"/>
      <c r="L9" s="19">
        <f t="shared" si="1"/>
        <v>0</v>
      </c>
      <c r="M9" s="20">
        <v>0</v>
      </c>
      <c r="N9" s="10">
        <f>Table1[[#This Row],[Total Billed]]*0.1</f>
        <v>0</v>
      </c>
      <c r="O9" s="25">
        <f>Table1[[#This Row],[Total Billed]]+Table1[[#This Row],[Indirect @ 10%]]</f>
        <v>0</v>
      </c>
      <c r="P9" s="37">
        <f>Table1[[#This Row],[Total CoC Expense]]-Table1[[#This Row],[Total Billed]]</f>
        <v>0</v>
      </c>
    </row>
    <row r="10" spans="1:16" s="36" customFormat="1">
      <c r="A10" s="39" t="s">
        <v>38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5"/>
      <c r="N10" s="45"/>
      <c r="O10" s="40"/>
      <c r="P10" s="41"/>
    </row>
    <row r="11" spans="1:16">
      <c r="A11" t="s">
        <v>39</v>
      </c>
      <c r="B11" t="s">
        <v>40</v>
      </c>
      <c r="C11" t="s">
        <v>37</v>
      </c>
      <c r="D11" s="31">
        <v>20</v>
      </c>
      <c r="E11">
        <v>40</v>
      </c>
      <c r="F11" s="32">
        <v>6.25</v>
      </c>
      <c r="G11" s="33">
        <f>Table1[[#This Row],[Total hours]]*Table1[[#This Row],[Pay Rate]]</f>
        <v>800</v>
      </c>
      <c r="H11" s="33">
        <v>75</v>
      </c>
      <c r="I11" s="33">
        <f t="shared" si="0"/>
        <v>875</v>
      </c>
      <c r="J11" s="34">
        <f>Table1[[#This Row],[CoC hours]]*Table1[[#This Row],[Pay Rate]]</f>
        <v>125</v>
      </c>
      <c r="K11" s="34">
        <f>Table1[[#This Row],[CoC hours]]/Table1[[#This Row],[Total hours]]*Table1[[#This Row],[Tax, Fringe, &amp; Prof. Ins]]</f>
        <v>11.71875</v>
      </c>
      <c r="L11" s="19">
        <f t="shared" si="1"/>
        <v>136.71875</v>
      </c>
      <c r="M11" s="20">
        <v>100</v>
      </c>
      <c r="N11" s="46">
        <f>Table1[[#This Row],[Total Billed]]*0.1</f>
        <v>10</v>
      </c>
      <c r="O11" s="18">
        <f>Table1[[#This Row],[Total Billed]]+Table1[[#This Row],[Indirect @ 10%]]</f>
        <v>110</v>
      </c>
      <c r="P11" s="37">
        <f>Table1[[#This Row],[Total CoC Expense]]-Table1[[#This Row],[Total Billed]]</f>
        <v>36.71875</v>
      </c>
    </row>
    <row r="12" spans="1:16">
      <c r="A12" s="61" t="s">
        <v>39</v>
      </c>
      <c r="B12" t="s">
        <v>40</v>
      </c>
      <c r="C12" t="s">
        <v>5</v>
      </c>
      <c r="D12" s="31">
        <v>20</v>
      </c>
      <c r="E12">
        <v>40</v>
      </c>
      <c r="F12" s="50">
        <v>6.25</v>
      </c>
      <c r="G12" s="33">
        <f>Table1[[#This Row],[Total hours]]*Table1[[#This Row],[Pay Rate]]</f>
        <v>800</v>
      </c>
      <c r="H12" s="33">
        <v>75</v>
      </c>
      <c r="I12" s="33">
        <f t="shared" si="0"/>
        <v>875</v>
      </c>
      <c r="J12" s="55">
        <f>Table1[[#This Row],[CoC hours]]*Table1[[#This Row],[Pay Rate]]</f>
        <v>125</v>
      </c>
      <c r="K12" s="55">
        <f>Table1[[#This Row],[CoC hours]]/Table1[[#This Row],[Total hours]]*Table1[[#This Row],[Tax, Fringe, &amp; Prof. Ins]]</f>
        <v>11.71875</v>
      </c>
      <c r="L12" s="51">
        <f t="shared" si="1"/>
        <v>136.71875</v>
      </c>
      <c r="M12" s="52">
        <v>100</v>
      </c>
      <c r="N12" s="52">
        <f>Table1[[#This Row],[Total Billed]]*0.1</f>
        <v>10</v>
      </c>
      <c r="O12" s="51">
        <f>Table1[[#This Row],[Total Billed]]+Table1[[#This Row],[Indirect @ 10%]]</f>
        <v>110</v>
      </c>
      <c r="P12" s="56">
        <f>Table1[[#This Row],[Total CoC Expense]]-Table1[[#This Row],[Total Billed]]</f>
        <v>36.71875</v>
      </c>
    </row>
    <row r="13" spans="1:16">
      <c r="A13" s="28"/>
      <c r="B13" s="28"/>
      <c r="C13" s="28"/>
      <c r="D13" s="29">
        <v>0</v>
      </c>
      <c r="E13" s="28">
        <v>0</v>
      </c>
      <c r="F13" s="30">
        <v>0</v>
      </c>
      <c r="G13" s="33">
        <f>Table1[[#This Row],[Total hours]]*Table1[[#This Row],[Pay Rate]]</f>
        <v>0</v>
      </c>
      <c r="H13" s="62">
        <v>0</v>
      </c>
      <c r="I13" s="33">
        <f t="shared" si="0"/>
        <v>0</v>
      </c>
      <c r="J13" s="34">
        <f>Table1[[#This Row],[CoC hours]]*Table1[[#This Row],[Pay Rate]]</f>
        <v>0</v>
      </c>
      <c r="K13" s="34"/>
      <c r="L13" s="19">
        <f t="shared" si="1"/>
        <v>0</v>
      </c>
      <c r="M13" s="21">
        <v>0</v>
      </c>
      <c r="N13" s="47">
        <f>Table1[[#This Row],[Total Billed]]*0.1</f>
        <v>0</v>
      </c>
      <c r="O13" s="42">
        <f>Table1[[#This Row],[Total Billed]]+Table1[[#This Row],[Indirect @ 10%]]</f>
        <v>0</v>
      </c>
      <c r="P13" s="43">
        <f>Table1[[#This Row],[Total CoC Expense]]-Table1[[#This Row],[Total Billed]]</f>
        <v>0</v>
      </c>
    </row>
    <row r="14" spans="1:16" s="36" customFormat="1">
      <c r="A14" s="39" t="s">
        <v>41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5"/>
      <c r="N14" s="45"/>
      <c r="O14" s="40"/>
      <c r="P14" s="41"/>
    </row>
    <row r="15" spans="1:16">
      <c r="A15" t="s">
        <v>42</v>
      </c>
      <c r="B15" t="s">
        <v>43</v>
      </c>
      <c r="C15" t="s">
        <v>37</v>
      </c>
      <c r="D15" s="31">
        <v>20</v>
      </c>
      <c r="E15">
        <v>12.5</v>
      </c>
      <c r="F15" s="32">
        <v>12.5</v>
      </c>
      <c r="G15" s="33">
        <f>Table1[[#This Row],[Total hours]]*Table1[[#This Row],[Pay Rate]]</f>
        <v>250</v>
      </c>
      <c r="H15" s="33">
        <v>50</v>
      </c>
      <c r="I15" s="33">
        <f t="shared" si="0"/>
        <v>300</v>
      </c>
      <c r="J15" s="33">
        <f>Table1[[#This Row],[CoC hours]]*Table1[[#This Row],[Pay Rate]]</f>
        <v>250</v>
      </c>
      <c r="K15" s="33">
        <f>Table1[[#This Row],[CoC hours]]/Table1[[#This Row],[Total hours]]*Table1[[#This Row],[Tax, Fringe, &amp; Prof. Ins]]</f>
        <v>50</v>
      </c>
      <c r="L15" s="7">
        <f t="shared" si="1"/>
        <v>300</v>
      </c>
      <c r="M15" s="20">
        <v>300</v>
      </c>
      <c r="N15" s="46">
        <f>Table1[[#This Row],[Total Billed]]*0.1</f>
        <v>30</v>
      </c>
      <c r="O15" s="18">
        <f>Table1[[#This Row],[Total Billed]]+Table1[[#This Row],[Indirect @ 10%]]</f>
        <v>330</v>
      </c>
      <c r="P15" s="11">
        <f>Table1[[#This Row],[Total CoC Expense]]-Table1[[#This Row],[Total Billed]]</f>
        <v>0</v>
      </c>
    </row>
    <row r="16" spans="1:16">
      <c r="A16" t="s">
        <v>42</v>
      </c>
      <c r="B16" t="s">
        <v>43</v>
      </c>
      <c r="C16" t="s">
        <v>5</v>
      </c>
      <c r="D16" s="31">
        <v>20</v>
      </c>
      <c r="E16">
        <v>12.5</v>
      </c>
      <c r="F16" s="50">
        <v>12.5</v>
      </c>
      <c r="G16" s="33">
        <f>Table1[[#This Row],[Total hours]]*Table1[[#This Row],[Pay Rate]]</f>
        <v>250</v>
      </c>
      <c r="H16" s="33">
        <v>50</v>
      </c>
      <c r="I16" s="33">
        <f t="shared" si="0"/>
        <v>300</v>
      </c>
      <c r="J16" s="55">
        <f>Table1[[#This Row],[CoC hours]]*Table1[[#This Row],[Pay Rate]]</f>
        <v>250</v>
      </c>
      <c r="K16" s="55">
        <f>Table1[[#This Row],[CoC hours]]/Table1[[#This Row],[Total hours]]*Table1[[#This Row],[Tax, Fringe, &amp; Prof. Ins]]</f>
        <v>50</v>
      </c>
      <c r="L16" s="51">
        <f t="shared" si="1"/>
        <v>300</v>
      </c>
      <c r="M16" s="52">
        <v>300</v>
      </c>
      <c r="N16" s="52">
        <f>Table1[[#This Row],[Total Billed]]*0.1</f>
        <v>30</v>
      </c>
      <c r="O16" s="53">
        <f>Table1[[#This Row],[Total Billed]]+Table1[[#This Row],[Indirect @ 10%]]</f>
        <v>330</v>
      </c>
      <c r="P16" s="54">
        <f>Table1[[#This Row],[Total CoC Expense]]-Table1[[#This Row],[Total Billed]]</f>
        <v>0</v>
      </c>
    </row>
    <row r="17" spans="1:16">
      <c r="D17" s="31">
        <v>0</v>
      </c>
      <c r="E17">
        <v>0</v>
      </c>
      <c r="F17" s="32">
        <v>0</v>
      </c>
      <c r="G17" s="33">
        <f>Table1[[#This Row],[Total hours]]*Table1[[#This Row],[Pay Rate]]</f>
        <v>0</v>
      </c>
      <c r="H17" s="33">
        <v>0</v>
      </c>
      <c r="I17" s="33">
        <f t="shared" si="0"/>
        <v>0</v>
      </c>
      <c r="J17" s="34">
        <f>Table1[[#This Row],[CoC hours]]*Table1[[#This Row],[Pay Rate]]</f>
        <v>0</v>
      </c>
      <c r="K17" s="34"/>
      <c r="L17" s="19">
        <f t="shared" si="1"/>
        <v>0</v>
      </c>
      <c r="M17" s="20">
        <v>0</v>
      </c>
      <c r="N17" s="10">
        <f>Table1[[#This Row],[Total Billed]]*0.1</f>
        <v>0</v>
      </c>
      <c r="O17" s="18">
        <f>Table1[[#This Row],[Total Billed]]+Table1[[#This Row],[Indirect @ 10%]]</f>
        <v>0</v>
      </c>
      <c r="P17" s="37">
        <f>Table1[[#This Row],[Total CoC Expense]]-Table1[[#This Row],[Total Billed]]</f>
        <v>0</v>
      </c>
    </row>
    <row r="18" spans="1:16">
      <c r="A18" s="63"/>
      <c r="B18" s="12"/>
      <c r="C18" s="12"/>
      <c r="D18" s="13"/>
      <c r="E18" s="12"/>
      <c r="F18" s="12"/>
      <c r="G18" s="14"/>
      <c r="H18" s="14"/>
      <c r="I18" s="14"/>
      <c r="J18" s="14"/>
      <c r="K18" s="14"/>
      <c r="L18" s="64" t="s">
        <v>44</v>
      </c>
      <c r="M18" s="15">
        <f>SUM(M6:M17)</f>
        <v>4394</v>
      </c>
      <c r="N18" s="15">
        <f>SUM(N6:N17)</f>
        <v>439.40000000000003</v>
      </c>
      <c r="O18" s="16">
        <f>SUM(O6:O17)</f>
        <v>4833.3999999999996</v>
      </c>
      <c r="P18" s="15">
        <f>SUM(P6:P17)</f>
        <v>73.4375</v>
      </c>
    </row>
    <row r="19" spans="1:16" ht="28.9">
      <c r="J19" s="59"/>
      <c r="L19" s="36" t="s">
        <v>45</v>
      </c>
      <c r="M19" s="20">
        <f>M7+M8</f>
        <v>3594</v>
      </c>
      <c r="N19" s="10">
        <f>N7+N8</f>
        <v>359.40000000000003</v>
      </c>
      <c r="O19" s="25">
        <f>O7+O8</f>
        <v>3953.4</v>
      </c>
      <c r="P19" s="17">
        <f>P7+P8</f>
        <v>0</v>
      </c>
    </row>
    <row r="20" spans="1:16">
      <c r="J20" s="59"/>
      <c r="L20" s="36" t="s">
        <v>46</v>
      </c>
      <c r="M20" s="20">
        <f>M11+M12</f>
        <v>200</v>
      </c>
      <c r="N20" s="10">
        <f>N11+N12</f>
        <v>20</v>
      </c>
      <c r="O20" s="25">
        <f>O11+O12</f>
        <v>220</v>
      </c>
      <c r="P20" s="65">
        <f>P11+P12</f>
        <v>73.4375</v>
      </c>
    </row>
    <row r="21" spans="1:16">
      <c r="J21" s="59"/>
      <c r="L21" s="36" t="s">
        <v>47</v>
      </c>
      <c r="M21" s="21">
        <f>M15+M16</f>
        <v>600</v>
      </c>
      <c r="N21" s="47">
        <f>N15+N16</f>
        <v>60</v>
      </c>
      <c r="O21" s="25">
        <f>O15+O16</f>
        <v>660</v>
      </c>
      <c r="P21" s="66">
        <f>P15+P16</f>
        <v>0</v>
      </c>
    </row>
    <row r="22" spans="1:16" ht="15" thickBot="1">
      <c r="J22" s="3"/>
      <c r="L22" s="3" t="s">
        <v>48</v>
      </c>
      <c r="M22" s="48">
        <f>SUM(M19:M21)</f>
        <v>4394</v>
      </c>
      <c r="N22" s="4">
        <f>SUM(N19:N21)</f>
        <v>439.40000000000003</v>
      </c>
      <c r="O22" s="26">
        <f>SUM(O19:O21)</f>
        <v>4833.3999999999996</v>
      </c>
      <c r="P22" s="49">
        <f>SUM(Table1[Total Match Expense])</f>
        <v>73.4375</v>
      </c>
    </row>
    <row r="23" spans="1:16" ht="15" thickTop="1">
      <c r="B23" s="5"/>
      <c r="C23" s="5"/>
    </row>
    <row r="24" spans="1:16">
      <c r="B24" s="6"/>
      <c r="C24" s="6"/>
    </row>
  </sheetData>
  <pageMargins left="0.2" right="0.2" top="0.75" bottom="0.75" header="0.3" footer="0.3"/>
  <pageSetup scale="70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1A0D72AE4287448C626D86083358D7" ma:contentTypeVersion="16" ma:contentTypeDescription="Create a new document." ma:contentTypeScope="" ma:versionID="a3287cecbe9807f5f2853aaeb6309925">
  <xsd:schema xmlns:xsd="http://www.w3.org/2001/XMLSchema" xmlns:xs="http://www.w3.org/2001/XMLSchema" xmlns:p="http://schemas.microsoft.com/office/2006/metadata/properties" xmlns:ns2="64ea17a1-dffb-4023-aade-8ddb5d22979b" xmlns:ns3="2ed1e42b-3b16-4c4c-980e-db513e605f0f" targetNamespace="http://schemas.microsoft.com/office/2006/metadata/properties" ma:root="true" ma:fieldsID="77231a6c6ed5afd6d802e8dc96f09b2c" ns2:_="" ns3:_="">
    <xsd:import namespace="64ea17a1-dffb-4023-aade-8ddb5d22979b"/>
    <xsd:import namespace="2ed1e42b-3b16-4c4c-980e-db513e605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Explan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a17a1-dffb-4023-aade-8ddb5d2297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xplanation" ma:index="12" nillable="true" ma:displayName="Explanation" ma:format="Dropdown" ma:internalName="Explanation">
      <xsd:simpleType>
        <xsd:restriction base="dms:Text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276a186-9e68-4632-aee2-e126ee2ec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1e42b-3b16-4c4c-980e-db513e605f0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db3e3c0-44a2-4d88-b8db-8d0a7e11350e}" ma:internalName="TaxCatchAll" ma:showField="CatchAllData" ma:web="2ed1e42b-3b16-4c4c-980e-db513e605f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d1e42b-3b16-4c4c-980e-db513e605f0f" xsi:nil="true"/>
    <lcf76f155ced4ddcb4097134ff3c332f xmlns="64ea17a1-dffb-4023-aade-8ddb5d22979b">
      <Terms xmlns="http://schemas.microsoft.com/office/infopath/2007/PartnerControls"/>
    </lcf76f155ced4ddcb4097134ff3c332f>
    <Explanation xmlns="64ea17a1-dffb-4023-aade-8ddb5d22979b" xsi:nil="true"/>
    <MediaLengthInSeconds xmlns="64ea17a1-dffb-4023-aade-8ddb5d22979b" xsi:nil="true"/>
  </documentManagement>
</p:properties>
</file>

<file path=customXml/itemProps1.xml><?xml version="1.0" encoding="utf-8"?>
<ds:datastoreItem xmlns:ds="http://schemas.openxmlformats.org/officeDocument/2006/customXml" ds:itemID="{39250268-BC3D-4A5E-8A9F-C6E3168B2278}"/>
</file>

<file path=customXml/itemProps2.xml><?xml version="1.0" encoding="utf-8"?>
<ds:datastoreItem xmlns:ds="http://schemas.openxmlformats.org/officeDocument/2006/customXml" ds:itemID="{C0361BDE-5304-493F-8D18-A1FB33D662CC}"/>
</file>

<file path=customXml/itemProps3.xml><?xml version="1.0" encoding="utf-8"?>
<ds:datastoreItem xmlns:ds="http://schemas.openxmlformats.org/officeDocument/2006/customXml" ds:itemID="{85F1FB22-55F8-4EC6-A112-6109D8F7C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 Murphy</dc:creator>
  <cp:keywords/>
  <dc:description/>
  <cp:lastModifiedBy>Janna Tetreault</cp:lastModifiedBy>
  <cp:revision/>
  <dcterms:created xsi:type="dcterms:W3CDTF">2020-01-17T16:41:57Z</dcterms:created>
  <dcterms:modified xsi:type="dcterms:W3CDTF">2024-05-30T17:17:26Z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0x010100EC1A0D72AE4287448C626D86083358D7</vt:lpwstr>
  </property>
  <property fmtid="{D5CDD505-2E9C-101B-9397-08002B2CF9AE}" pid="3" name="Order">
    <vt:r8>7209300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